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710" activeTab="0"/>
  </bookViews>
  <sheets>
    <sheet name="Summary" sheetId="1" r:id="rId1"/>
    <sheet name="budg to actual" sheetId="2" r:id="rId2"/>
    <sheet name="Development" sheetId="3" r:id="rId3"/>
    <sheet name="Operating" sheetId="4" r:id="rId4"/>
  </sheets>
  <definedNames>
    <definedName name="_xlnm.Print_Area" localSheetId="0">'Summary'!$A$1:$G$20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<sst xmlns="http://schemas.openxmlformats.org/spreadsheetml/2006/main" count="236" uniqueCount="162">
  <si>
    <t>Financing/Summary</t>
  </si>
  <si>
    <t>Rent</t>
  </si>
  <si>
    <t>Sources</t>
  </si>
  <si>
    <t>% of TDC</t>
  </si>
  <si>
    <t>Vacancy</t>
  </si>
  <si>
    <t>Private Mortgage Financing</t>
  </si>
  <si>
    <t>Net Rent Receipts</t>
  </si>
  <si>
    <t>Equity</t>
  </si>
  <si>
    <t>Expenses</t>
  </si>
  <si>
    <t>Total Sources</t>
  </si>
  <si>
    <t>Net Operating Income</t>
  </si>
  <si>
    <t>Total Equity Required</t>
  </si>
  <si>
    <t>Debt Service Coverage</t>
  </si>
  <si>
    <t>Uses</t>
  </si>
  <si>
    <t>Acquistion</t>
  </si>
  <si>
    <t>Available for Debt Service</t>
  </si>
  <si>
    <t>Construction</t>
  </si>
  <si>
    <t>Soft Costs</t>
  </si>
  <si>
    <t>Cash Flow</t>
  </si>
  <si>
    <t>Reserves</t>
  </si>
  <si>
    <t>Total Development Cost</t>
  </si>
  <si>
    <t>Term</t>
  </si>
  <si>
    <t>Interest Rate</t>
  </si>
  <si>
    <t>Maximum Debt</t>
  </si>
  <si>
    <t>Development Budget</t>
  </si>
  <si>
    <t>Proposed Uses</t>
  </si>
  <si>
    <t>Per Sq. Ft.</t>
  </si>
  <si>
    <t>Notes</t>
  </si>
  <si>
    <t>Acquisition</t>
  </si>
  <si>
    <t>Land</t>
  </si>
  <si>
    <t>Building</t>
  </si>
  <si>
    <t>Total Acquisition</t>
  </si>
  <si>
    <t>Direct Construction</t>
  </si>
  <si>
    <t>Construction Contingency</t>
  </si>
  <si>
    <t>Total Construction</t>
  </si>
  <si>
    <t>General Development</t>
  </si>
  <si>
    <t>aka soft costs</t>
  </si>
  <si>
    <t>Legal</t>
  </si>
  <si>
    <t>Survey</t>
  </si>
  <si>
    <t>Appraisal</t>
  </si>
  <si>
    <t>Environmental</t>
  </si>
  <si>
    <t>Building Permit</t>
  </si>
  <si>
    <t>1% of construction</t>
  </si>
  <si>
    <t>Bond</t>
  </si>
  <si>
    <t>1% - 1.5% of construction</t>
  </si>
  <si>
    <t>Construction Loan Interest</t>
  </si>
  <si>
    <t>Financing Points and Fees</t>
  </si>
  <si>
    <t>Contingency</t>
  </si>
  <si>
    <t>5% of Soft Costs</t>
  </si>
  <si>
    <t>Subtotal Gen. Dev.</t>
  </si>
  <si>
    <t>Operating Reserve</t>
  </si>
  <si>
    <t>3 mos. operating expenses and debt service</t>
  </si>
  <si>
    <t>Replacement Reserve</t>
  </si>
  <si>
    <t>For deferred maintenance items</t>
  </si>
  <si>
    <t>Subtotal Reserves</t>
  </si>
  <si>
    <t>Operating Budget</t>
  </si>
  <si>
    <t>Space</t>
  </si>
  <si>
    <t>Sq. Ft.</t>
  </si>
  <si>
    <t>Available Space</t>
  </si>
  <si>
    <t>Circulation @</t>
  </si>
  <si>
    <t>Net Rentable Space</t>
  </si>
  <si>
    <t xml:space="preserve"> </t>
  </si>
  <si>
    <t>Annual</t>
  </si>
  <si>
    <t>Montly</t>
  </si>
  <si>
    <t>Income</t>
  </si>
  <si>
    <t>Rent/Sq. Ft.</t>
  </si>
  <si>
    <t>Vacancy @</t>
  </si>
  <si>
    <t>Total</t>
  </si>
  <si>
    <t>Per Mo.</t>
  </si>
  <si>
    <t>Management @</t>
  </si>
  <si>
    <t>For adminstrative costs of management (ie. legal, accounting)</t>
  </si>
  <si>
    <t>Maintenance</t>
  </si>
  <si>
    <t>Elevator</t>
  </si>
  <si>
    <t>Cost of maintenance contractt</t>
  </si>
  <si>
    <t>Maintenance Payroll</t>
  </si>
  <si>
    <t>N/A if maintenance is not an employee</t>
  </si>
  <si>
    <t>Maint. supplies</t>
  </si>
  <si>
    <t>Paint, snow salt, etc.</t>
  </si>
  <si>
    <t>Trash Removal</t>
  </si>
  <si>
    <t>Get estimate</t>
  </si>
  <si>
    <t>Sprinkler</t>
  </si>
  <si>
    <t>Get estimate based on comparable system</t>
  </si>
  <si>
    <t>Snow Removal</t>
  </si>
  <si>
    <t>10 storms @ $200 each</t>
  </si>
  <si>
    <t>Total Maintenance</t>
  </si>
  <si>
    <t>Parking</t>
  </si>
  <si>
    <t>Security/Alarm</t>
  </si>
  <si>
    <t>Get estimate for comparable system</t>
  </si>
  <si>
    <t>Utilities</t>
  </si>
  <si>
    <t>Electricity</t>
  </si>
  <si>
    <t>Estimate from history and new system</t>
  </si>
  <si>
    <t xml:space="preserve">Gas </t>
  </si>
  <si>
    <t>Heat/Oil</t>
  </si>
  <si>
    <t>Water and Sewer</t>
  </si>
  <si>
    <t>Total Utilities</t>
  </si>
  <si>
    <t>Insurance</t>
  </si>
  <si>
    <t>Get estimate from agent</t>
  </si>
  <si>
    <t>Taxes</t>
  </si>
  <si>
    <t>Reserves @</t>
  </si>
  <si>
    <t>Total Operating Exp</t>
  </si>
  <si>
    <t>Net Operating Inc.</t>
  </si>
  <si>
    <t>Debt Service</t>
  </si>
  <si>
    <t>Points and closing costs</t>
  </si>
  <si>
    <t>Debt @ 80%</t>
  </si>
  <si>
    <t>DSCR</t>
  </si>
  <si>
    <t>Store front commercial</t>
  </si>
  <si>
    <t>Gross Potential Income</t>
  </si>
  <si>
    <t>Gross Effective Income</t>
  </si>
  <si>
    <t>2nd floor 3 bedroom</t>
  </si>
  <si>
    <t>3rd floor 3 bedroom</t>
  </si>
  <si>
    <t>Title Insurance/Recording</t>
  </si>
  <si>
    <t>Property and Construction Period</t>
  </si>
  <si>
    <t>Property Insurance</t>
  </si>
  <si>
    <t>Cost Estimate</t>
  </si>
  <si>
    <t>Cap Rate</t>
  </si>
  <si>
    <t xml:space="preserve">  </t>
  </si>
  <si>
    <t>Geotech</t>
  </si>
  <si>
    <t>Loan Amt/2*Int Rate*Construction Period (9 mos)</t>
  </si>
  <si>
    <t>Development Consultant</t>
  </si>
  <si>
    <t>value</t>
  </si>
  <si>
    <t>res</t>
  </si>
  <si>
    <t>comm</t>
  </si>
  <si>
    <t>/1000</t>
  </si>
  <si>
    <t>tax rate</t>
  </si>
  <si>
    <t>Equity Needed</t>
  </si>
  <si>
    <t>civil engineering</t>
  </si>
  <si>
    <t>structural engineering</t>
  </si>
  <si>
    <t>Environmental Engineering</t>
  </si>
  <si>
    <t>Architectural</t>
  </si>
  <si>
    <t>Total Costs</t>
  </si>
  <si>
    <t>Appraised Value</t>
  </si>
  <si>
    <t>LTV</t>
  </si>
  <si>
    <t>Loan</t>
  </si>
  <si>
    <t>Equity they have</t>
  </si>
  <si>
    <t>Additional Funds needed</t>
  </si>
  <si>
    <t>Total Loan Funds needed</t>
  </si>
  <si>
    <t>Total LTV</t>
  </si>
  <si>
    <t>A and E</t>
  </si>
  <si>
    <t>Additional Engineering</t>
  </si>
  <si>
    <t>Budget</t>
  </si>
  <si>
    <t>Lender Legal</t>
  </si>
  <si>
    <t>Engineering</t>
  </si>
  <si>
    <t>Soft Contingency</t>
  </si>
  <si>
    <t>Bank Inspector</t>
  </si>
  <si>
    <t>9x @$450 each</t>
  </si>
  <si>
    <t>lower?</t>
  </si>
  <si>
    <t>Remaining to be paid</t>
  </si>
  <si>
    <t>Paid Already</t>
  </si>
  <si>
    <t>TOTAL</t>
  </si>
  <si>
    <t>BUDGET</t>
  </si>
  <si>
    <t>PAID</t>
  </si>
  <si>
    <t>ALREADY</t>
  </si>
  <si>
    <t>TO BE</t>
  </si>
  <si>
    <t>Development Summary</t>
  </si>
  <si>
    <t>for next meeting</t>
  </si>
  <si>
    <t>budget for loan doc</t>
  </si>
  <si>
    <t>copies of loan docs</t>
  </si>
  <si>
    <t>figure out insurance</t>
  </si>
  <si>
    <t>interior build out included?</t>
  </si>
  <si>
    <t xml:space="preserve">if change to structure, what needed from Ed? </t>
  </si>
  <si>
    <t>Loan (Bank)</t>
  </si>
  <si>
    <t>Equity ($ from Owner)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</si>
</sst>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_);[Red]\(&quot;$&quot;#,##0.0\)"/>
    <numFmt numFmtId="169" formatCode="0.0%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9" fontId="0" fillId="0" borderId="0" xfId="19" applyAlignment="1">
      <alignment/>
    </xf>
    <xf numFmtId="165" fontId="0" fillId="0" borderId="1" xfId="15" applyNumberFormat="1" applyBorder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67" fontId="0" fillId="0" borderId="0" xfId="17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169" fontId="0" fillId="0" borderId="0" xfId="19" applyNumberFormat="1" applyAlignment="1">
      <alignment horizontal="left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9" fontId="0" fillId="0" borderId="5" xfId="19" applyNumberFormat="1" applyBorder="1" applyAlignment="1">
      <alignment/>
    </xf>
    <xf numFmtId="165" fontId="1" fillId="0" borderId="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4" fontId="0" fillId="0" borderId="0" xfId="17" applyNumberFormat="1" applyAlignment="1">
      <alignment/>
    </xf>
    <xf numFmtId="44" fontId="0" fillId="0" borderId="1" xfId="17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8" fontId="0" fillId="0" borderId="0" xfId="0" applyNumberFormat="1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19" applyNumberFormat="1" applyAlignment="1">
      <alignment/>
    </xf>
    <xf numFmtId="9" fontId="0" fillId="0" borderId="0" xfId="19" applyFon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169" fontId="0" fillId="0" borderId="0" xfId="19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7" fontId="6" fillId="0" borderId="0" xfId="17" applyNumberFormat="1" applyFont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167" fontId="6" fillId="0" borderId="10" xfId="17" applyNumberFormat="1" applyFont="1" applyBorder="1" applyAlignment="1">
      <alignment/>
    </xf>
    <xf numFmtId="165" fontId="0" fillId="2" borderId="0" xfId="0" applyNumberFormat="1" applyFill="1" applyBorder="1" applyAlignment="1">
      <alignment/>
    </xf>
    <xf numFmtId="3" fontId="0" fillId="0" borderId="0" xfId="0" applyNumberFormat="1" applyAlignment="1">
      <alignment/>
    </xf>
    <xf numFmtId="167" fontId="6" fillId="2" borderId="0" xfId="17" applyNumberFormat="1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43" fontId="8" fillId="0" borderId="0" xfId="15" applyFont="1" applyAlignment="1">
      <alignment/>
    </xf>
    <xf numFmtId="0" fontId="8" fillId="0" borderId="0" xfId="0" applyFont="1" applyAlignment="1">
      <alignment horizontal="right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167" fontId="0" fillId="2" borderId="0" xfId="17" applyNumberFormat="1" applyFill="1" applyAlignment="1">
      <alignment/>
    </xf>
    <xf numFmtId="167" fontId="8" fillId="2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31.57421875" style="0" customWidth="1"/>
    <col min="2" max="2" width="10.28125" style="0" customWidth="1"/>
    <col min="3" max="3" width="11.8515625" style="0" customWidth="1"/>
    <col min="4" max="4" width="24.8515625" style="0" customWidth="1"/>
    <col min="5" max="5" width="14.28125" style="0" customWidth="1"/>
    <col min="6" max="6" width="13.00390625" style="0" customWidth="1"/>
    <col min="7" max="7" width="9.7109375" style="0" bestFit="1" customWidth="1"/>
    <col min="9" max="9" width="12.140625" style="0" customWidth="1"/>
  </cols>
  <sheetData>
    <row r="1" ht="12.75">
      <c r="A1" s="3" t="s">
        <v>0</v>
      </c>
    </row>
    <row r="2" ht="12.75">
      <c r="A2" s="4"/>
    </row>
    <row r="3" spans="1:6" ht="12.75">
      <c r="A3" s="4" t="s">
        <v>1</v>
      </c>
      <c r="B3" s="7">
        <v>50000</v>
      </c>
      <c r="D3" s="24" t="s">
        <v>2</v>
      </c>
      <c r="E3" s="36"/>
      <c r="F3" s="25" t="s">
        <v>3</v>
      </c>
    </row>
    <row r="4" spans="1:6" ht="12.75">
      <c r="A4" s="4" t="s">
        <v>4</v>
      </c>
      <c r="B4" s="7">
        <f>Operating!E17</f>
        <v>-4054.5</v>
      </c>
      <c r="D4" s="26" t="s">
        <v>5</v>
      </c>
      <c r="E4" s="64">
        <v>1250000</v>
      </c>
      <c r="F4" s="37">
        <f>E4/$E$16</f>
        <v>1.0362178446577643</v>
      </c>
    </row>
    <row r="5" spans="1:6" s="2" customFormat="1" ht="12.75">
      <c r="A5" s="5" t="s">
        <v>6</v>
      </c>
      <c r="B5" s="11">
        <f>SUM(B3:B4)</f>
        <v>45945.5</v>
      </c>
      <c r="D5" s="26" t="s">
        <v>61</v>
      </c>
      <c r="E5" s="34">
        <v>0</v>
      </c>
      <c r="F5" s="37">
        <f>E5/$E$16</f>
        <v>0</v>
      </c>
    </row>
    <row r="6" spans="1:6" ht="12.75">
      <c r="A6" s="4"/>
      <c r="B6" s="7"/>
      <c r="D6" s="26" t="s">
        <v>7</v>
      </c>
      <c r="E6" s="34">
        <f>E16-(E4+E5)</f>
        <v>-43689.94999999995</v>
      </c>
      <c r="F6" s="37">
        <f>E6/$E$16</f>
        <v>-0.036217844657764356</v>
      </c>
    </row>
    <row r="7" spans="1:6" s="2" customFormat="1" ht="12.75">
      <c r="A7" s="5" t="s">
        <v>8</v>
      </c>
      <c r="B7" s="11">
        <f>Operating!C52</f>
        <v>21703.550000000003</v>
      </c>
      <c r="D7" s="26" t="s">
        <v>9</v>
      </c>
      <c r="E7" s="35">
        <f>SUM(E4:E6)</f>
        <v>1206310.05</v>
      </c>
      <c r="F7" s="27"/>
    </row>
    <row r="8" spans="1:6" ht="12.75">
      <c r="A8" s="4"/>
      <c r="B8" s="7"/>
      <c r="D8" s="26"/>
      <c r="E8" s="33"/>
      <c r="F8" s="28"/>
    </row>
    <row r="9" spans="1:6" s="2" customFormat="1" ht="15">
      <c r="A9" s="5" t="s">
        <v>10</v>
      </c>
      <c r="B9" s="11">
        <f>B5-B7</f>
        <v>24241.949999999997</v>
      </c>
      <c r="D9" s="29" t="s">
        <v>11</v>
      </c>
      <c r="E9" s="39">
        <f>E5+E6</f>
        <v>-43689.94999999995</v>
      </c>
      <c r="F9" s="28"/>
    </row>
    <row r="10" spans="1:6" ht="12.75">
      <c r="A10" s="4"/>
      <c r="B10" s="7"/>
      <c r="D10" s="26"/>
      <c r="E10" s="33"/>
      <c r="F10" s="28"/>
    </row>
    <row r="11" spans="1:6" s="2" customFormat="1" ht="12.75">
      <c r="A11" s="5" t="s">
        <v>12</v>
      </c>
      <c r="B11" s="17">
        <v>1.25</v>
      </c>
      <c r="D11" s="29" t="s">
        <v>13</v>
      </c>
      <c r="E11" s="33"/>
      <c r="F11" s="28"/>
    </row>
    <row r="12" spans="1:6" ht="12.75">
      <c r="A12" s="4"/>
      <c r="B12" s="7"/>
      <c r="D12" s="26" t="s">
        <v>14</v>
      </c>
      <c r="E12" s="34">
        <v>75000</v>
      </c>
      <c r="F12" s="37">
        <f>E12/$E$16</f>
        <v>0.06217307067946586</v>
      </c>
    </row>
    <row r="13" spans="1:6" s="2" customFormat="1" ht="12.75">
      <c r="A13" s="5" t="s">
        <v>15</v>
      </c>
      <c r="B13" s="11">
        <f>B9/B11</f>
        <v>19393.559999999998</v>
      </c>
      <c r="D13" s="26" t="s">
        <v>16</v>
      </c>
      <c r="E13" s="34">
        <v>1050000</v>
      </c>
      <c r="F13" s="37">
        <f>E13/$E$16</f>
        <v>0.8704229895125221</v>
      </c>
    </row>
    <row r="14" spans="1:6" ht="12.75">
      <c r="A14" s="4"/>
      <c r="B14" s="7"/>
      <c r="D14" s="26" t="s">
        <v>17</v>
      </c>
      <c r="E14" s="34">
        <f>'budg to actual'!B34</f>
        <v>81310.05</v>
      </c>
      <c r="F14" s="37">
        <f>E14/$E$16</f>
        <v>0.06740393980801204</v>
      </c>
    </row>
    <row r="15" spans="1:6" s="2" customFormat="1" ht="12.75">
      <c r="A15" s="5" t="s">
        <v>18</v>
      </c>
      <c r="B15" s="11">
        <f>B9-B13</f>
        <v>4848.389999999999</v>
      </c>
      <c r="D15" s="26" t="s">
        <v>19</v>
      </c>
      <c r="E15" s="34">
        <f>Development!C42</f>
        <v>0</v>
      </c>
      <c r="F15" s="37">
        <f>E15/$E$16</f>
        <v>0</v>
      </c>
    </row>
    <row r="16" spans="1:6" ht="12.75">
      <c r="A16" s="4"/>
      <c r="B16" s="7"/>
      <c r="D16" s="30" t="s">
        <v>20</v>
      </c>
      <c r="E16" s="38">
        <f>SUM(E12:E15)</f>
        <v>1206310.05</v>
      </c>
      <c r="F16" s="31"/>
    </row>
    <row r="17" spans="1:4" ht="12.75">
      <c r="A17" s="18"/>
      <c r="B17" s="7"/>
      <c r="C17" s="2" t="s">
        <v>21</v>
      </c>
      <c r="D17" s="2" t="s">
        <v>22</v>
      </c>
    </row>
    <row r="18" spans="1:8" ht="12.75">
      <c r="A18" s="5" t="s">
        <v>23</v>
      </c>
      <c r="B18" s="7">
        <f>-PV(D18,C18,B13)</f>
        <v>236560.2541399867</v>
      </c>
      <c r="C18">
        <v>25</v>
      </c>
      <c r="D18" s="23">
        <v>0.065</v>
      </c>
      <c r="H18" t="s">
        <v>61</v>
      </c>
    </row>
    <row r="19" spans="1:2" ht="12.75">
      <c r="A19" s="4"/>
      <c r="B19" s="7"/>
    </row>
    <row r="20" spans="1:2" ht="12.75">
      <c r="A20" s="4"/>
      <c r="B20" s="16"/>
    </row>
    <row r="23" spans="2:4" ht="12.75">
      <c r="B23" t="s">
        <v>129</v>
      </c>
      <c r="D23" s="76">
        <v>1250000</v>
      </c>
    </row>
    <row r="24" ht="12.75">
      <c r="D24" s="19"/>
    </row>
    <row r="25" spans="2:5" ht="12.75">
      <c r="B25" t="s">
        <v>130</v>
      </c>
      <c r="D25" s="19">
        <v>635000</v>
      </c>
      <c r="E25" t="s">
        <v>61</v>
      </c>
    </row>
    <row r="27" spans="2:5" ht="12.75">
      <c r="B27" t="s">
        <v>131</v>
      </c>
      <c r="D27" s="8">
        <v>0.8</v>
      </c>
      <c r="E27" t="s">
        <v>61</v>
      </c>
    </row>
    <row r="29" spans="2:6" ht="12.75">
      <c r="B29" t="s">
        <v>132</v>
      </c>
      <c r="D29" s="75">
        <v>1250000</v>
      </c>
      <c r="E29" t="s">
        <v>61</v>
      </c>
      <c r="F29" s="52" t="s">
        <v>61</v>
      </c>
    </row>
    <row r="30" ht="12.75">
      <c r="D30" s="19"/>
    </row>
    <row r="31" spans="2:4" ht="12.75">
      <c r="B31" t="s">
        <v>124</v>
      </c>
      <c r="D31" s="19">
        <f>D23-D29</f>
        <v>0</v>
      </c>
    </row>
    <row r="32" ht="12.75">
      <c r="D32" s="19"/>
    </row>
    <row r="33" spans="2:4" ht="12.75">
      <c r="B33" t="s">
        <v>133</v>
      </c>
      <c r="D33" s="19">
        <v>125000</v>
      </c>
    </row>
    <row r="34" ht="12.75">
      <c r="D34" s="19"/>
    </row>
    <row r="35" spans="2:4" ht="12.75">
      <c r="B35" t="s">
        <v>134</v>
      </c>
      <c r="D35" s="19">
        <f>D31-D33</f>
        <v>-125000</v>
      </c>
    </row>
    <row r="37" spans="2:4" ht="12.75">
      <c r="B37" t="s">
        <v>135</v>
      </c>
      <c r="D37" s="52">
        <f>D35+D29</f>
        <v>1125000</v>
      </c>
    </row>
    <row r="39" spans="3:4" ht="12.75">
      <c r="C39" t="s">
        <v>136</v>
      </c>
      <c r="D39" s="8">
        <f>D37/D25</f>
        <v>1.7716535433070866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H7" sqref="H7"/>
    </sheetView>
  </sheetViews>
  <sheetFormatPr defaultColWidth="9.140625" defaultRowHeight="12.75"/>
  <cols>
    <col min="1" max="1" width="23.7109375" style="0" customWidth="1"/>
    <col min="2" max="2" width="14.28125" style="0" bestFit="1" customWidth="1"/>
    <col min="3" max="3" width="2.28125" style="0" customWidth="1"/>
    <col min="4" max="4" width="12.140625" style="0" customWidth="1"/>
    <col min="5" max="5" width="2.57421875" style="0" customWidth="1"/>
    <col min="6" max="6" width="15.00390625" style="0" customWidth="1"/>
    <col min="7" max="7" width="12.8515625" style="0" customWidth="1"/>
    <col min="8" max="8" width="12.28125" style="0" customWidth="1"/>
  </cols>
  <sheetData>
    <row r="1" spans="1:7" ht="15.75">
      <c r="A1" s="60"/>
      <c r="G1" s="54">
        <v>40107</v>
      </c>
    </row>
    <row r="2" ht="15.75">
      <c r="A2" s="55" t="s">
        <v>153</v>
      </c>
    </row>
    <row r="4" spans="2:6" ht="12.75">
      <c r="B4" t="s">
        <v>139</v>
      </c>
      <c r="D4" t="s">
        <v>147</v>
      </c>
      <c r="F4" t="s">
        <v>146</v>
      </c>
    </row>
    <row r="5" ht="12.75">
      <c r="A5" s="2" t="s">
        <v>25</v>
      </c>
    </row>
    <row r="6" ht="12.75">
      <c r="A6" s="5" t="s">
        <v>28</v>
      </c>
    </row>
    <row r="7" spans="1:6" ht="12.75">
      <c r="A7" s="4" t="s">
        <v>29</v>
      </c>
      <c r="B7" s="7">
        <v>50000</v>
      </c>
      <c r="D7" s="65">
        <v>30000</v>
      </c>
      <c r="F7" s="20">
        <f>B7-D7</f>
        <v>20000</v>
      </c>
    </row>
    <row r="8" spans="1:6" ht="12.75">
      <c r="A8" s="4" t="s">
        <v>30</v>
      </c>
      <c r="B8" s="9">
        <v>0</v>
      </c>
      <c r="C8" s="57"/>
      <c r="D8" s="9">
        <v>0</v>
      </c>
      <c r="E8" s="57"/>
      <c r="F8" s="9">
        <v>0</v>
      </c>
    </row>
    <row r="9" spans="1:6" ht="12.75">
      <c r="A9" s="5" t="s">
        <v>31</v>
      </c>
      <c r="B9" s="11">
        <f>SUM(B7:B8)</f>
        <v>50000</v>
      </c>
      <c r="D9" s="11">
        <f>SUM(D7:D8)</f>
        <v>30000</v>
      </c>
      <c r="F9" s="11">
        <f>SUM(F7:F8)</f>
        <v>20000</v>
      </c>
    </row>
    <row r="10" spans="1:2" ht="12.75">
      <c r="A10" s="4"/>
      <c r="B10" s="7"/>
    </row>
    <row r="11" spans="1:2" ht="12.75">
      <c r="A11" s="5" t="s">
        <v>32</v>
      </c>
      <c r="B11" s="7"/>
    </row>
    <row r="12" spans="1:6" ht="12.75">
      <c r="A12" s="4" t="s">
        <v>113</v>
      </c>
      <c r="B12" s="14">
        <v>557500</v>
      </c>
      <c r="D12">
        <v>10000</v>
      </c>
      <c r="F12" s="20">
        <f>B12-D12</f>
        <v>547500</v>
      </c>
    </row>
    <row r="13" spans="1:8" ht="12.75">
      <c r="A13" s="4" t="s">
        <v>33</v>
      </c>
      <c r="B13" s="9">
        <f>B12*G13</f>
        <v>41812.5</v>
      </c>
      <c r="C13" s="57"/>
      <c r="D13" s="57">
        <v>0</v>
      </c>
      <c r="E13" s="57"/>
      <c r="F13" s="58">
        <f>B13-D13</f>
        <v>41812.5</v>
      </c>
      <c r="G13" s="49">
        <v>0.075</v>
      </c>
      <c r="H13" t="s">
        <v>145</v>
      </c>
    </row>
    <row r="14" spans="1:7" ht="12.75">
      <c r="A14" s="5" t="s">
        <v>34</v>
      </c>
      <c r="B14" s="11">
        <f>SUM(B12:B13)</f>
        <v>599312.5</v>
      </c>
      <c r="D14" s="43">
        <f>SUM(D12:D13)</f>
        <v>10000</v>
      </c>
      <c r="E14" s="43"/>
      <c r="F14" s="56">
        <f>B14-D14</f>
        <v>589312.5</v>
      </c>
      <c r="G14" s="43"/>
    </row>
    <row r="15" spans="1:2" ht="12.75">
      <c r="A15" s="4"/>
      <c r="B15" s="7"/>
    </row>
    <row r="16" spans="1:2" ht="12.75">
      <c r="A16" s="5" t="s">
        <v>35</v>
      </c>
      <c r="B16" s="7" t="s">
        <v>36</v>
      </c>
    </row>
    <row r="17" spans="1:6" ht="12.75">
      <c r="A17" s="4" t="s">
        <v>128</v>
      </c>
      <c r="B17" s="14">
        <v>15000</v>
      </c>
      <c r="D17" s="7" t="e">
        <f>#REF!+#REF!+#REF!</f>
        <v>#REF!</v>
      </c>
      <c r="F17" s="20" t="e">
        <f>B17-D17</f>
        <v>#REF!</v>
      </c>
    </row>
    <row r="18" spans="1:7" ht="12.75">
      <c r="A18" s="4" t="s">
        <v>141</v>
      </c>
      <c r="B18" s="14">
        <v>13650</v>
      </c>
      <c r="D18" s="7" t="e">
        <f>#REF!+#REF!-#REF!</f>
        <v>#REF!</v>
      </c>
      <c r="F18" s="20" t="e">
        <f aca="true" t="shared" si="0" ref="F18:F34">B18-D18</f>
        <v>#REF!</v>
      </c>
      <c r="G18" s="20" t="s">
        <v>61</v>
      </c>
    </row>
    <row r="19" spans="1:6" ht="12.75">
      <c r="A19" s="4" t="s">
        <v>37</v>
      </c>
      <c r="B19" s="7">
        <v>500</v>
      </c>
      <c r="F19" s="20">
        <f t="shared" si="0"/>
        <v>500</v>
      </c>
    </row>
    <row r="20" spans="1:6" ht="12.75">
      <c r="A20" s="4" t="s">
        <v>118</v>
      </c>
      <c r="B20" s="7">
        <v>4000</v>
      </c>
      <c r="D20">
        <v>1593</v>
      </c>
      <c r="F20" s="20">
        <f t="shared" si="0"/>
        <v>2407</v>
      </c>
    </row>
    <row r="21" spans="1:6" ht="12.75">
      <c r="A21" s="4" t="s">
        <v>110</v>
      </c>
      <c r="B21" s="7">
        <v>2851</v>
      </c>
      <c r="D21">
        <f>753.5+153+50+166+1270+275+135+49</f>
        <v>2851.5</v>
      </c>
      <c r="F21" s="20">
        <f t="shared" si="0"/>
        <v>-0.5</v>
      </c>
    </row>
    <row r="22" spans="1:6" ht="12.75">
      <c r="A22" s="4" t="s">
        <v>95</v>
      </c>
      <c r="B22" s="7">
        <v>3000</v>
      </c>
      <c r="F22" s="20">
        <f t="shared" si="0"/>
        <v>3000</v>
      </c>
    </row>
    <row r="23" spans="1:6" ht="12.75">
      <c r="A23" s="4" t="s">
        <v>97</v>
      </c>
      <c r="B23" s="7">
        <v>0</v>
      </c>
      <c r="F23" s="20">
        <f t="shared" si="0"/>
        <v>0</v>
      </c>
    </row>
    <row r="24" spans="1:6" ht="12.75">
      <c r="A24" s="4" t="s">
        <v>38</v>
      </c>
      <c r="B24" s="7">
        <v>1500</v>
      </c>
      <c r="D24">
        <v>1500</v>
      </c>
      <c r="F24" s="20">
        <f t="shared" si="0"/>
        <v>0</v>
      </c>
    </row>
    <row r="25" spans="1:6" ht="12.75">
      <c r="A25" s="4" t="s">
        <v>39</v>
      </c>
      <c r="B25" s="7">
        <v>3500</v>
      </c>
      <c r="D25">
        <v>3500</v>
      </c>
      <c r="F25" s="20">
        <f t="shared" si="0"/>
        <v>0</v>
      </c>
    </row>
    <row r="26" spans="1:6" ht="12.75">
      <c r="A26" s="4" t="s">
        <v>40</v>
      </c>
      <c r="B26" s="7">
        <v>0</v>
      </c>
      <c r="F26" s="20">
        <f t="shared" si="0"/>
        <v>0</v>
      </c>
    </row>
    <row r="27" spans="1:6" ht="12.75">
      <c r="A27" s="4" t="s">
        <v>41</v>
      </c>
      <c r="B27" s="14">
        <v>0</v>
      </c>
      <c r="D27">
        <v>0</v>
      </c>
      <c r="F27" s="20">
        <f t="shared" si="0"/>
        <v>0</v>
      </c>
    </row>
    <row r="28" spans="1:6" ht="12.75">
      <c r="A28" s="4" t="s">
        <v>43</v>
      </c>
      <c r="B28" s="7">
        <v>0</v>
      </c>
      <c r="F28" s="20">
        <f t="shared" si="0"/>
        <v>0</v>
      </c>
    </row>
    <row r="29" spans="1:6" ht="12.75">
      <c r="A29" s="4" t="s">
        <v>45</v>
      </c>
      <c r="B29" s="14">
        <v>20000</v>
      </c>
      <c r="F29" s="20">
        <f t="shared" si="0"/>
        <v>20000</v>
      </c>
    </row>
    <row r="30" spans="1:6" ht="12.75">
      <c r="A30" s="4" t="s">
        <v>140</v>
      </c>
      <c r="B30" s="14">
        <v>4500</v>
      </c>
      <c r="D30">
        <v>4500</v>
      </c>
      <c r="F30" s="20">
        <f t="shared" si="0"/>
        <v>0</v>
      </c>
    </row>
    <row r="31" spans="1:6" ht="12.75">
      <c r="A31" s="4" t="s">
        <v>46</v>
      </c>
      <c r="B31" s="7">
        <v>5080</v>
      </c>
      <c r="D31">
        <v>5080</v>
      </c>
      <c r="F31" s="20">
        <f t="shared" si="0"/>
        <v>0</v>
      </c>
    </row>
    <row r="32" spans="1:7" ht="12.75">
      <c r="A32" s="4" t="s">
        <v>143</v>
      </c>
      <c r="B32" s="7">
        <f>9*450</f>
        <v>4050</v>
      </c>
      <c r="F32" s="20"/>
      <c r="G32" t="s">
        <v>144</v>
      </c>
    </row>
    <row r="33" spans="1:6" ht="12.75">
      <c r="A33" s="4" t="s">
        <v>142</v>
      </c>
      <c r="B33" s="9">
        <f>0.05*SUM(B17:B31)</f>
        <v>3679.05</v>
      </c>
      <c r="C33" s="57"/>
      <c r="D33" s="57"/>
      <c r="E33" s="57"/>
      <c r="F33" s="58">
        <f t="shared" si="0"/>
        <v>3679.05</v>
      </c>
    </row>
    <row r="34" spans="1:6" ht="12.75">
      <c r="A34" s="5" t="s">
        <v>49</v>
      </c>
      <c r="B34" s="44">
        <f>SUM(B17:B33)</f>
        <v>81310.05</v>
      </c>
      <c r="C34" s="43"/>
      <c r="D34" s="56" t="e">
        <f>SUM(D17:D33)</f>
        <v>#REF!</v>
      </c>
      <c r="E34" s="43"/>
      <c r="F34" s="56" t="e">
        <f t="shared" si="0"/>
        <v>#REF!</v>
      </c>
    </row>
    <row r="35" spans="1:2" ht="12.75">
      <c r="A35" s="4"/>
      <c r="B35" s="7"/>
    </row>
    <row r="36" spans="1:2" ht="12.75">
      <c r="A36" s="5" t="s">
        <v>19</v>
      </c>
      <c r="B36" s="14"/>
    </row>
    <row r="37" spans="1:2" ht="12.75">
      <c r="A37" s="4" t="s">
        <v>50</v>
      </c>
      <c r="B37" s="7"/>
    </row>
    <row r="38" spans="1:2" ht="12.75">
      <c r="A38" s="4" t="s">
        <v>52</v>
      </c>
      <c r="B38" s="9"/>
    </row>
    <row r="39" spans="1:2" ht="12.75">
      <c r="A39" s="5" t="s">
        <v>54</v>
      </c>
      <c r="B39" s="11">
        <f>SUM(B37:B38)</f>
        <v>0</v>
      </c>
    </row>
    <row r="40" spans="1:2" ht="12.75">
      <c r="A40" s="4"/>
      <c r="B40" s="7"/>
    </row>
    <row r="41" spans="1:6" ht="12.75">
      <c r="A41" s="5" t="s">
        <v>20</v>
      </c>
      <c r="B41" s="11">
        <f>B9+B14+B34+B39</f>
        <v>730622.55</v>
      </c>
      <c r="C41" s="11" t="s">
        <v>61</v>
      </c>
      <c r="D41" s="11" t="e">
        <f>D9+D14+D34+D39</f>
        <v>#REF!</v>
      </c>
      <c r="E41" s="11" t="s">
        <v>61</v>
      </c>
      <c r="F41" s="11" t="e">
        <f>F9+F14+F34+F39</f>
        <v>#REF!</v>
      </c>
    </row>
    <row r="42" spans="1:8" ht="13.5" thickBot="1">
      <c r="A42" s="61"/>
      <c r="B42" s="61"/>
      <c r="C42" s="61"/>
      <c r="D42" s="61"/>
      <c r="E42" s="61"/>
      <c r="F42" s="61"/>
      <c r="G42" s="61"/>
      <c r="H42" s="61"/>
    </row>
    <row r="43" spans="2:6" ht="15.75">
      <c r="B43" s="62" t="s">
        <v>148</v>
      </c>
      <c r="C43" s="62"/>
      <c r="D43" s="62" t="s">
        <v>150</v>
      </c>
      <c r="E43" s="62"/>
      <c r="F43" s="62" t="s">
        <v>152</v>
      </c>
    </row>
    <row r="44" spans="2:6" ht="15.75">
      <c r="B44" s="62" t="s">
        <v>149</v>
      </c>
      <c r="C44" s="62"/>
      <c r="D44" s="62" t="s">
        <v>151</v>
      </c>
      <c r="E44" s="62"/>
      <c r="F44" s="62" t="s">
        <v>150</v>
      </c>
    </row>
    <row r="45" spans="1:8" ht="12.75">
      <c r="A45" s="57"/>
      <c r="B45" s="57"/>
      <c r="C45" s="57"/>
      <c r="D45" s="57"/>
      <c r="E45" s="57"/>
      <c r="F45" s="57"/>
      <c r="G45" s="57"/>
      <c r="H45" s="57"/>
    </row>
    <row r="46" spans="1:6" ht="15.75">
      <c r="A46" s="55" t="s">
        <v>160</v>
      </c>
      <c r="B46" s="66">
        <v>1250000</v>
      </c>
      <c r="D46" s="59"/>
      <c r="E46" s="59"/>
      <c r="F46" s="59">
        <v>1250000</v>
      </c>
    </row>
    <row r="47" spans="1:6" ht="9" customHeight="1" thickBot="1">
      <c r="A47" s="55"/>
      <c r="B47" s="59"/>
      <c r="D47" s="59"/>
      <c r="E47" s="59"/>
      <c r="F47" s="59"/>
    </row>
    <row r="48" spans="1:8" ht="16.5" thickBot="1">
      <c r="A48" s="55" t="s">
        <v>161</v>
      </c>
      <c r="B48" s="59">
        <f>B50-B46</f>
        <v>-519377.44999999995</v>
      </c>
      <c r="D48" s="59" t="e">
        <f>D41</f>
        <v>#REF!</v>
      </c>
      <c r="E48" s="59"/>
      <c r="F48" s="63" t="e">
        <f>F50-F46</f>
        <v>#REF!</v>
      </c>
      <c r="H48" s="20" t="s">
        <v>61</v>
      </c>
    </row>
    <row r="49" spans="1:8" ht="9" customHeight="1">
      <c r="A49" s="55"/>
      <c r="B49" s="59"/>
      <c r="D49" s="59"/>
      <c r="E49" s="59"/>
      <c r="F49" s="59"/>
      <c r="H49" s="20" t="s">
        <v>61</v>
      </c>
    </row>
    <row r="50" spans="1:8" ht="15.75">
      <c r="A50" s="55" t="s">
        <v>67</v>
      </c>
      <c r="B50" s="59">
        <f>B41</f>
        <v>730622.55</v>
      </c>
      <c r="D50" s="59" t="e">
        <f>D41</f>
        <v>#REF!</v>
      </c>
      <c r="E50" s="59"/>
      <c r="F50" s="59" t="e">
        <f>F41</f>
        <v>#REF!</v>
      </c>
      <c r="H50" s="20" t="s">
        <v>61</v>
      </c>
    </row>
    <row r="51" ht="12.75">
      <c r="H51" t="s">
        <v>61</v>
      </c>
    </row>
    <row r="54" ht="12.75">
      <c r="A54" t="s">
        <v>154</v>
      </c>
    </row>
    <row r="55" ht="12.75">
      <c r="B55" t="s">
        <v>155</v>
      </c>
    </row>
    <row r="56" ht="12.75">
      <c r="B56" t="s">
        <v>156</v>
      </c>
    </row>
    <row r="57" ht="12.75">
      <c r="B57" t="s">
        <v>157</v>
      </c>
    </row>
    <row r="58" ht="12.75">
      <c r="B58" t="s">
        <v>158</v>
      </c>
    </row>
    <row r="59" ht="12.75">
      <c r="B59" t="s">
        <v>159</v>
      </c>
    </row>
  </sheetData>
  <printOptions/>
  <pageMargins left="0.75" right="0.75" top="0.65" bottom="0.6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2">
      <selection activeCell="I11" sqref="I11"/>
    </sheetView>
  </sheetViews>
  <sheetFormatPr defaultColWidth="9.140625" defaultRowHeight="12.75"/>
  <cols>
    <col min="1" max="1" width="13.8515625" style="0" customWidth="1"/>
    <col min="2" max="2" width="9.28125" style="0" customWidth="1"/>
    <col min="3" max="3" width="10.28125" style="0" customWidth="1"/>
  </cols>
  <sheetData>
    <row r="1" ht="12.75">
      <c r="A1" s="3" t="s">
        <v>24</v>
      </c>
    </row>
    <row r="5" spans="1:5" ht="12.75">
      <c r="A5" s="2" t="s">
        <v>25</v>
      </c>
      <c r="D5" t="s">
        <v>26</v>
      </c>
      <c r="E5" t="s">
        <v>27</v>
      </c>
    </row>
    <row r="6" spans="1:5" ht="12.75">
      <c r="A6" s="68"/>
      <c r="B6" s="69" t="s">
        <v>28</v>
      </c>
      <c r="C6" s="68"/>
      <c r="D6" s="70"/>
      <c r="E6" s="68"/>
    </row>
    <row r="7" spans="1:5" ht="12.75">
      <c r="A7" s="68"/>
      <c r="B7" s="71" t="s">
        <v>29</v>
      </c>
      <c r="C7" s="72">
        <v>50000</v>
      </c>
      <c r="D7" s="70"/>
      <c r="E7" s="68"/>
    </row>
    <row r="8" spans="1:5" ht="12.75">
      <c r="A8" s="68"/>
      <c r="B8" s="71" t="s">
        <v>30</v>
      </c>
      <c r="C8" s="73">
        <v>0</v>
      </c>
      <c r="D8" s="70"/>
      <c r="E8" s="68"/>
    </row>
    <row r="9" spans="1:5" ht="12.75">
      <c r="A9" s="68"/>
      <c r="B9" s="69" t="s">
        <v>31</v>
      </c>
      <c r="C9" s="74">
        <f>SUM(C7:C8)</f>
        <v>50000</v>
      </c>
      <c r="D9" s="70">
        <f>C9/Operating!$C$5</f>
        <v>10</v>
      </c>
      <c r="E9" s="68"/>
    </row>
    <row r="10" spans="1:5" ht="12.75">
      <c r="A10" s="68"/>
      <c r="B10" s="71"/>
      <c r="C10" s="72"/>
      <c r="D10" s="70"/>
      <c r="E10" s="68"/>
    </row>
    <row r="11" spans="2:4" ht="12.75">
      <c r="B11" s="5" t="s">
        <v>32</v>
      </c>
      <c r="C11" s="7"/>
      <c r="D11" s="6"/>
    </row>
    <row r="12" spans="2:4" ht="12.75">
      <c r="B12" s="4" t="s">
        <v>113</v>
      </c>
      <c r="C12" s="14">
        <v>518000</v>
      </c>
      <c r="D12" s="6">
        <f>C12/5000</f>
        <v>103.6</v>
      </c>
    </row>
    <row r="13" spans="2:5" ht="12.75">
      <c r="B13" s="4" t="s">
        <v>33</v>
      </c>
      <c r="C13" s="9">
        <f>SUM(C12:C12)*E13</f>
        <v>51800</v>
      </c>
      <c r="D13" s="6">
        <f>C13/Operating!$C$5</f>
        <v>10.36</v>
      </c>
      <c r="E13" s="1">
        <v>0.1</v>
      </c>
    </row>
    <row r="14" spans="2:4" ht="12.75">
      <c r="B14" s="5" t="s">
        <v>34</v>
      </c>
      <c r="C14" s="11">
        <f>SUM(C12:C13)</f>
        <v>569800</v>
      </c>
      <c r="D14" s="6">
        <f>C14/Operating!$C$5</f>
        <v>113.96</v>
      </c>
    </row>
    <row r="15" spans="2:4" ht="12.75">
      <c r="B15" s="4"/>
      <c r="C15" s="7"/>
      <c r="D15" s="6"/>
    </row>
    <row r="16" spans="2:4" ht="12.75">
      <c r="B16" s="4"/>
      <c r="C16" s="7"/>
      <c r="D16" s="6"/>
    </row>
    <row r="17" spans="2:4" ht="12.75">
      <c r="B17" s="5" t="s">
        <v>35</v>
      </c>
      <c r="C17" s="7" t="s">
        <v>36</v>
      </c>
      <c r="D17" s="6"/>
    </row>
    <row r="18" spans="2:5" ht="12.75">
      <c r="B18" s="4" t="s">
        <v>128</v>
      </c>
      <c r="C18" s="14">
        <v>13500</v>
      </c>
      <c r="D18" s="6">
        <f>C18/Operating!$C$5</f>
        <v>2.7</v>
      </c>
      <c r="E18" s="8">
        <f>C18/C14</f>
        <v>0.02369252369252369</v>
      </c>
    </row>
    <row r="19" spans="2:5" ht="12.75">
      <c r="B19" s="4" t="s">
        <v>116</v>
      </c>
      <c r="C19" s="14">
        <v>2900</v>
      </c>
      <c r="D19" s="6">
        <f>C19/Operating!$C$5</f>
        <v>0.58</v>
      </c>
      <c r="E19" s="50"/>
    </row>
    <row r="20" spans="2:5" ht="12.75">
      <c r="B20" s="4" t="s">
        <v>125</v>
      </c>
      <c r="C20" s="14">
        <v>3000</v>
      </c>
      <c r="D20" s="6">
        <f>C20/Operating!$C$5</f>
        <v>0.6</v>
      </c>
      <c r="E20" s="50"/>
    </row>
    <row r="21" spans="2:5" ht="12.75">
      <c r="B21" s="4" t="s">
        <v>126</v>
      </c>
      <c r="C21" s="14">
        <v>3750</v>
      </c>
      <c r="D21" s="6">
        <f>C21/Operating!$C$5</f>
        <v>0.75</v>
      </c>
      <c r="E21" s="50"/>
    </row>
    <row r="22" spans="2:5" ht="12.75">
      <c r="B22" s="4" t="s">
        <v>127</v>
      </c>
      <c r="C22" s="14">
        <v>2000</v>
      </c>
      <c r="D22" s="6">
        <f>C22/Operating!$C$5</f>
        <v>0.4</v>
      </c>
      <c r="E22" s="50"/>
    </row>
    <row r="23" spans="2:8" ht="12.75">
      <c r="B23" s="4" t="s">
        <v>138</v>
      </c>
      <c r="C23" s="14">
        <v>2000</v>
      </c>
      <c r="D23" s="6">
        <f>C23/Operating!$C$5</f>
        <v>0.4</v>
      </c>
      <c r="E23" s="50"/>
      <c r="F23" t="s">
        <v>137</v>
      </c>
      <c r="G23" s="20">
        <f>SUM(C18:C23)</f>
        <v>27150</v>
      </c>
      <c r="H23" s="53">
        <f>G23/C14</f>
        <v>0.04764829764829765</v>
      </c>
    </row>
    <row r="24" spans="2:4" ht="12.75">
      <c r="B24" s="4" t="s">
        <v>37</v>
      </c>
      <c r="C24" s="7">
        <v>5000</v>
      </c>
      <c r="D24" s="6">
        <f>C24/Operating!$C$5</f>
        <v>1</v>
      </c>
    </row>
    <row r="25" spans="2:4" ht="12.75">
      <c r="B25" s="4" t="s">
        <v>118</v>
      </c>
      <c r="C25" s="7">
        <v>4000</v>
      </c>
      <c r="D25" s="6">
        <f>C25/Operating!$C$5</f>
        <v>0.8</v>
      </c>
    </row>
    <row r="26" spans="2:4" ht="12.75">
      <c r="B26" s="4" t="s">
        <v>110</v>
      </c>
      <c r="C26" s="7">
        <v>1000</v>
      </c>
      <c r="D26" s="6">
        <f>C26/Operating!$C$5</f>
        <v>0.2</v>
      </c>
    </row>
    <row r="27" spans="2:5" ht="12.75">
      <c r="B27" s="4" t="s">
        <v>95</v>
      </c>
      <c r="C27" s="7">
        <v>5000</v>
      </c>
      <c r="D27" s="6">
        <f>C27/Operating!$C$5</f>
        <v>1</v>
      </c>
      <c r="E27" t="s">
        <v>111</v>
      </c>
    </row>
    <row r="28" spans="2:4" ht="12.75">
      <c r="B28" s="4" t="s">
        <v>97</v>
      </c>
      <c r="C28" s="7">
        <v>500</v>
      </c>
      <c r="D28" s="6">
        <f>C28/Operating!$C$5</f>
        <v>0.1</v>
      </c>
    </row>
    <row r="29" spans="2:4" ht="12.75">
      <c r="B29" s="4" t="s">
        <v>38</v>
      </c>
      <c r="C29" s="7">
        <v>1300</v>
      </c>
      <c r="D29" s="6">
        <f>C29/Operating!$C$5</f>
        <v>0.26</v>
      </c>
    </row>
    <row r="30" spans="2:4" ht="12.75">
      <c r="B30" s="4" t="s">
        <v>39</v>
      </c>
      <c r="C30" s="7">
        <v>4500</v>
      </c>
      <c r="D30" s="6">
        <f>C30/Operating!$C$5</f>
        <v>0.9</v>
      </c>
    </row>
    <row r="31" spans="2:4" ht="12.75">
      <c r="B31" s="4" t="s">
        <v>40</v>
      </c>
      <c r="C31" s="7">
        <v>0</v>
      </c>
      <c r="D31" s="6">
        <f>C31/Operating!$C$5</f>
        <v>0</v>
      </c>
    </row>
    <row r="32" spans="2:5" ht="12.75">
      <c r="B32" s="4" t="s">
        <v>41</v>
      </c>
      <c r="C32" s="14">
        <f>0.01*SUM(C12:C12)</f>
        <v>5180</v>
      </c>
      <c r="D32" s="6">
        <f>C32/Operating!$C$5</f>
        <v>1.036</v>
      </c>
      <c r="E32" t="s">
        <v>42</v>
      </c>
    </row>
    <row r="33" spans="2:5" ht="12.75">
      <c r="B33" s="4" t="s">
        <v>43</v>
      </c>
      <c r="C33" s="7">
        <f>0.01*SUM(C12:C12)</f>
        <v>5180</v>
      </c>
      <c r="D33" s="6">
        <f>C33/Operating!$C$5</f>
        <v>1.036</v>
      </c>
      <c r="E33" t="s">
        <v>44</v>
      </c>
    </row>
    <row r="34" spans="2:5" ht="12.75">
      <c r="B34" s="4" t="s">
        <v>45</v>
      </c>
      <c r="C34" s="14">
        <f>(SUM(C12:C13)/2)*Summary!D18*(9/12)</f>
        <v>13888.875</v>
      </c>
      <c r="D34" s="6">
        <f>C34/Operating!$C$5</f>
        <v>2.777775</v>
      </c>
      <c r="E34" t="s">
        <v>117</v>
      </c>
    </row>
    <row r="35" spans="2:5" ht="12.75">
      <c r="B35" s="4" t="s">
        <v>46</v>
      </c>
      <c r="C35" s="7">
        <v>10000</v>
      </c>
      <c r="D35" s="6">
        <f>C35/Operating!$C$5</f>
        <v>2</v>
      </c>
      <c r="E35" t="s">
        <v>102</v>
      </c>
    </row>
    <row r="36" spans="2:5" ht="12.75">
      <c r="B36" s="4" t="s">
        <v>47</v>
      </c>
      <c r="C36" s="9">
        <f>0.05*SUM(C18:C35)</f>
        <v>4134.94375</v>
      </c>
      <c r="D36" s="6">
        <f>C36/Operating!$C$5</f>
        <v>0.82698875</v>
      </c>
      <c r="E36" s="67" t="s">
        <v>48</v>
      </c>
    </row>
    <row r="37" spans="2:4" ht="12.75">
      <c r="B37" s="5" t="s">
        <v>49</v>
      </c>
      <c r="C37" s="11">
        <f>SUM(C18:C36)</f>
        <v>86833.81875</v>
      </c>
      <c r="D37" s="6"/>
    </row>
    <row r="38" spans="2:4" ht="12.75">
      <c r="B38" s="4"/>
      <c r="C38" s="7"/>
      <c r="D38" s="6"/>
    </row>
    <row r="39" spans="2:4" ht="12.75">
      <c r="B39" s="5" t="s">
        <v>19</v>
      </c>
      <c r="C39" s="14"/>
      <c r="D39" s="6"/>
    </row>
    <row r="40" spans="2:5" ht="12.75">
      <c r="B40" s="4" t="s">
        <v>50</v>
      </c>
      <c r="C40" s="7"/>
      <c r="D40" s="6">
        <f>C40/Operating!$C$5</f>
        <v>0</v>
      </c>
      <c r="E40" t="s">
        <v>51</v>
      </c>
    </row>
    <row r="41" spans="2:5" ht="12.75">
      <c r="B41" s="4" t="s">
        <v>52</v>
      </c>
      <c r="C41" s="9"/>
      <c r="D41" s="6">
        <f>C41/Operating!$C$5</f>
        <v>0</v>
      </c>
      <c r="E41" t="s">
        <v>53</v>
      </c>
    </row>
    <row r="42" spans="2:4" ht="12.75">
      <c r="B42" s="5" t="s">
        <v>54</v>
      </c>
      <c r="C42" s="11">
        <f>SUM(C40:C41)</f>
        <v>0</v>
      </c>
      <c r="D42" s="6"/>
    </row>
    <row r="43" spans="2:4" ht="12.75">
      <c r="B43" s="4"/>
      <c r="C43" s="7"/>
      <c r="D43" s="6"/>
    </row>
    <row r="44" spans="2:4" ht="12.75">
      <c r="B44" s="5" t="s">
        <v>20</v>
      </c>
      <c r="C44" s="11">
        <f>C9+C14+C37+C42</f>
        <v>706633.81875</v>
      </c>
      <c r="D44" s="6">
        <f>C44/Operating!$C$5</f>
        <v>141.32676375</v>
      </c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0">
      <selection activeCell="D1" sqref="D1"/>
    </sheetView>
  </sheetViews>
  <sheetFormatPr defaultColWidth="9.140625" defaultRowHeight="12.75"/>
  <cols>
    <col min="1" max="1" width="20.00390625" style="0" customWidth="1"/>
    <col min="2" max="2" width="5.28125" style="0" customWidth="1"/>
    <col min="3" max="3" width="11.28125" style="0" bestFit="1" customWidth="1"/>
    <col min="4" max="4" width="11.140625" style="0" customWidth="1"/>
    <col min="6" max="6" width="12.28125" style="0" bestFit="1" customWidth="1"/>
    <col min="7" max="7" width="11.7109375" style="0" bestFit="1" customWidth="1"/>
    <col min="8" max="8" width="12.28125" style="0" bestFit="1" customWidth="1"/>
    <col min="9" max="9" width="11.28125" style="0" bestFit="1" customWidth="1"/>
  </cols>
  <sheetData>
    <row r="1" ht="12.75">
      <c r="A1" s="3" t="s">
        <v>55</v>
      </c>
    </row>
    <row r="2" ht="12.75">
      <c r="A2" s="3"/>
    </row>
    <row r="3" ht="12.75">
      <c r="A3" s="2" t="s">
        <v>56</v>
      </c>
    </row>
    <row r="4" ht="12.75">
      <c r="C4" t="s">
        <v>57</v>
      </c>
    </row>
    <row r="5" spans="1:3" ht="12.75">
      <c r="A5" s="4" t="s">
        <v>58</v>
      </c>
      <c r="C5" s="7">
        <v>5000</v>
      </c>
    </row>
    <row r="6" spans="1:5" ht="12.75">
      <c r="A6" s="4" t="s">
        <v>59</v>
      </c>
      <c r="B6" s="8"/>
      <c r="C6" s="9">
        <f>-B6*C5</f>
        <v>0</v>
      </c>
      <c r="E6">
        <f>18000/834</f>
        <v>21.58273381294964</v>
      </c>
    </row>
    <row r="7" spans="1:3" ht="12.75">
      <c r="A7" s="4" t="s">
        <v>60</v>
      </c>
      <c r="C7" s="7">
        <f>SUM(C5:C6)</f>
        <v>5000</v>
      </c>
    </row>
    <row r="8" ht="12.75">
      <c r="A8" s="4"/>
    </row>
    <row r="9" spans="1:5" ht="12.75">
      <c r="A9" s="4"/>
      <c r="E9" t="s">
        <v>61</v>
      </c>
    </row>
    <row r="10" spans="1:6" ht="12.75">
      <c r="A10" s="4"/>
      <c r="E10" s="2" t="s">
        <v>62</v>
      </c>
      <c r="F10" s="2" t="s">
        <v>63</v>
      </c>
    </row>
    <row r="11" spans="1:6" s="2" customFormat="1" ht="12.75">
      <c r="A11" s="5" t="s">
        <v>64</v>
      </c>
      <c r="C11" s="2" t="s">
        <v>57</v>
      </c>
      <c r="D11" s="2" t="s">
        <v>65</v>
      </c>
      <c r="E11" s="2" t="s">
        <v>64</v>
      </c>
      <c r="F11" s="2" t="s">
        <v>64</v>
      </c>
    </row>
    <row r="12" spans="2:6" ht="12.75">
      <c r="B12" s="4" t="s">
        <v>105</v>
      </c>
      <c r="C12" s="7">
        <v>827.6</v>
      </c>
      <c r="D12" s="40">
        <v>25</v>
      </c>
      <c r="E12" s="7">
        <f>C12*D12</f>
        <v>20690</v>
      </c>
      <c r="F12" s="7">
        <f>E12/12</f>
        <v>1724.1666666666667</v>
      </c>
    </row>
    <row r="13" spans="2:8" ht="12.75">
      <c r="B13" s="4" t="s">
        <v>105</v>
      </c>
      <c r="C13" s="7">
        <v>976</v>
      </c>
      <c r="D13" s="40">
        <v>25</v>
      </c>
      <c r="E13" s="7">
        <f>C13*D13</f>
        <v>24400</v>
      </c>
      <c r="F13" s="7">
        <f>E13/12</f>
        <v>2033.3333333333333</v>
      </c>
      <c r="H13" t="s">
        <v>61</v>
      </c>
    </row>
    <row r="14" spans="1:8" ht="12.75">
      <c r="A14" s="4"/>
      <c r="B14" s="4" t="s">
        <v>108</v>
      </c>
      <c r="C14" s="7">
        <v>1134</v>
      </c>
      <c r="D14" s="40">
        <f>E14/C14</f>
        <v>15.873015873015873</v>
      </c>
      <c r="E14" s="7">
        <f>F14*12</f>
        <v>18000</v>
      </c>
      <c r="F14" s="7">
        <v>1500</v>
      </c>
      <c r="H14" s="20" t="s">
        <v>61</v>
      </c>
    </row>
    <row r="15" spans="1:8" ht="12.75">
      <c r="A15" s="4"/>
      <c r="B15" s="4" t="s">
        <v>109</v>
      </c>
      <c r="C15" s="9">
        <v>1134</v>
      </c>
      <c r="D15" s="41">
        <f>E15/C15</f>
        <v>15.873015873015873</v>
      </c>
      <c r="E15" s="9">
        <f>F15*12</f>
        <v>18000</v>
      </c>
      <c r="F15" s="9">
        <v>1500</v>
      </c>
      <c r="H15" t="s">
        <v>61</v>
      </c>
    </row>
    <row r="16" spans="1:8" ht="12.75">
      <c r="A16" s="4"/>
      <c r="B16" s="4" t="s">
        <v>106</v>
      </c>
      <c r="C16" s="7">
        <f>SUM(C12:C15)</f>
        <v>4071.6</v>
      </c>
      <c r="D16" s="7"/>
      <c r="E16" s="7">
        <f>SUM(E12:E15)</f>
        <v>81090</v>
      </c>
      <c r="F16" s="7">
        <f>E16/12</f>
        <v>6757.5</v>
      </c>
      <c r="H16" s="20" t="s">
        <v>115</v>
      </c>
    </row>
    <row r="17" spans="1:6" ht="12.75">
      <c r="A17" s="4" t="s">
        <v>66</v>
      </c>
      <c r="B17" s="1">
        <v>0.05</v>
      </c>
      <c r="C17" s="7"/>
      <c r="D17" s="7"/>
      <c r="E17" s="9">
        <f>-B17*E16</f>
        <v>-4054.5</v>
      </c>
      <c r="F17" s="9">
        <f>E17/12</f>
        <v>-337.875</v>
      </c>
    </row>
    <row r="18" spans="2:6" ht="12.75">
      <c r="B18" s="5" t="s">
        <v>107</v>
      </c>
      <c r="C18" s="7"/>
      <c r="D18" s="7"/>
      <c r="E18" s="7">
        <f>SUM(E16:E17)</f>
        <v>77035.5</v>
      </c>
      <c r="F18" s="7">
        <f>E18/12</f>
        <v>6419.625</v>
      </c>
    </row>
    <row r="19" ht="12.75">
      <c r="A19" s="4"/>
    </row>
    <row r="20" spans="1:5" ht="12.75">
      <c r="A20" s="5" t="s">
        <v>8</v>
      </c>
      <c r="D20" t="s">
        <v>61</v>
      </c>
      <c r="E20" t="s">
        <v>61</v>
      </c>
    </row>
    <row r="21" spans="1:5" ht="12.75">
      <c r="A21" s="4"/>
      <c r="C21" t="s">
        <v>67</v>
      </c>
      <c r="D21" t="s">
        <v>68</v>
      </c>
      <c r="E21" t="s">
        <v>26</v>
      </c>
    </row>
    <row r="22" spans="1:6" s="2" customFormat="1" ht="12.75">
      <c r="A22" s="5" t="s">
        <v>69</v>
      </c>
      <c r="B22" s="13">
        <v>0.05</v>
      </c>
      <c r="C22" s="11">
        <f>B22*E18</f>
        <v>3851.775</v>
      </c>
      <c r="D22" s="11">
        <f>C22/12</f>
        <v>320.98125</v>
      </c>
      <c r="E22" s="10">
        <f>C22/$C$5</f>
        <v>0.770355</v>
      </c>
      <c r="F22" s="12" t="s">
        <v>70</v>
      </c>
    </row>
    <row r="23" spans="1:6" ht="12.75">
      <c r="A23" s="4"/>
      <c r="C23" s="7"/>
      <c r="D23" s="7"/>
      <c r="E23" s="6" t="s">
        <v>61</v>
      </c>
      <c r="F23" t="s">
        <v>61</v>
      </c>
    </row>
    <row r="24" spans="1:5" ht="12.75" hidden="1">
      <c r="A24" s="5" t="s">
        <v>71</v>
      </c>
      <c r="C24" s="7" t="s">
        <v>61</v>
      </c>
      <c r="D24" s="7"/>
      <c r="E24" s="6"/>
    </row>
    <row r="25" spans="1:6" ht="12.75" hidden="1">
      <c r="A25" s="4" t="s">
        <v>72</v>
      </c>
      <c r="C25" s="7">
        <v>0</v>
      </c>
      <c r="D25" s="7">
        <f aca="true" t="shared" si="0" ref="D25:D31">C25/12</f>
        <v>0</v>
      </c>
      <c r="E25" s="6">
        <f aca="true" t="shared" si="1" ref="E25:E31">C25/$C$5</f>
        <v>0</v>
      </c>
      <c r="F25" t="s">
        <v>73</v>
      </c>
    </row>
    <row r="26" spans="1:6" ht="12.75" hidden="1">
      <c r="A26" s="4" t="s">
        <v>74</v>
      </c>
      <c r="C26" s="7">
        <v>0</v>
      </c>
      <c r="D26" s="7">
        <f t="shared" si="0"/>
        <v>0</v>
      </c>
      <c r="E26" s="6">
        <f t="shared" si="1"/>
        <v>0</v>
      </c>
      <c r="F26" t="s">
        <v>75</v>
      </c>
    </row>
    <row r="27" spans="1:5" ht="12.75">
      <c r="A27" s="42" t="s">
        <v>71</v>
      </c>
      <c r="B27" s="43"/>
      <c r="C27" s="44">
        <v>2500</v>
      </c>
      <c r="D27" s="44">
        <f t="shared" si="0"/>
        <v>208.33333333333334</v>
      </c>
      <c r="E27" s="45">
        <f t="shared" si="1"/>
        <v>0.5</v>
      </c>
    </row>
    <row r="28" spans="1:6" ht="12.75" hidden="1">
      <c r="A28" s="4" t="s">
        <v>76</v>
      </c>
      <c r="C28" s="7"/>
      <c r="D28" s="7">
        <f t="shared" si="0"/>
        <v>0</v>
      </c>
      <c r="E28" s="6">
        <f t="shared" si="1"/>
        <v>0</v>
      </c>
      <c r="F28" t="s">
        <v>77</v>
      </c>
    </row>
    <row r="29" spans="1:6" ht="12.75" hidden="1">
      <c r="A29" s="4" t="s">
        <v>78</v>
      </c>
      <c r="C29" s="14"/>
      <c r="D29" s="7">
        <f t="shared" si="0"/>
        <v>0</v>
      </c>
      <c r="E29" s="6">
        <f t="shared" si="1"/>
        <v>0</v>
      </c>
      <c r="F29" t="s">
        <v>79</v>
      </c>
    </row>
    <row r="30" spans="1:6" ht="12.75" hidden="1">
      <c r="A30" s="4" t="s">
        <v>80</v>
      </c>
      <c r="C30" s="7"/>
      <c r="D30" s="7">
        <f t="shared" si="0"/>
        <v>0</v>
      </c>
      <c r="E30" s="6">
        <f t="shared" si="1"/>
        <v>0</v>
      </c>
      <c r="F30" t="s">
        <v>81</v>
      </c>
    </row>
    <row r="31" spans="1:6" ht="12.75" hidden="1">
      <c r="A31" s="4" t="s">
        <v>82</v>
      </c>
      <c r="C31" s="15"/>
      <c r="D31" s="7">
        <f t="shared" si="0"/>
        <v>0</v>
      </c>
      <c r="E31" s="6">
        <f t="shared" si="1"/>
        <v>0</v>
      </c>
      <c r="F31" t="s">
        <v>83</v>
      </c>
    </row>
    <row r="32" spans="1:5" ht="12.75" hidden="1">
      <c r="A32" s="5" t="s">
        <v>84</v>
      </c>
      <c r="C32" s="11">
        <f>SUM(C25:C31)</f>
        <v>2500</v>
      </c>
      <c r="D32" s="11">
        <f>C32/12</f>
        <v>208.33333333333334</v>
      </c>
      <c r="E32" s="10">
        <f>C32/$C$5</f>
        <v>0.5</v>
      </c>
    </row>
    <row r="33" spans="1:5" ht="12.75" hidden="1">
      <c r="A33" s="4"/>
      <c r="C33" s="7"/>
      <c r="D33" s="7"/>
      <c r="E33" s="6"/>
    </row>
    <row r="34" spans="1:5" ht="12.75" hidden="1">
      <c r="A34" s="4"/>
      <c r="C34" s="7"/>
      <c r="D34" s="7"/>
      <c r="E34" s="6"/>
    </row>
    <row r="35" spans="1:5" ht="12.75" hidden="1">
      <c r="A35" s="5" t="s">
        <v>85</v>
      </c>
      <c r="C35" s="11"/>
      <c r="D35" s="11">
        <f>C35/12</f>
        <v>0</v>
      </c>
      <c r="E35" s="10">
        <f>C35/$C$5</f>
        <v>0</v>
      </c>
    </row>
    <row r="36" spans="1:5" ht="12.75" hidden="1">
      <c r="A36" s="4"/>
      <c r="C36" s="7"/>
      <c r="D36" s="7"/>
      <c r="E36" s="6"/>
    </row>
    <row r="37" spans="1:6" ht="12.75" hidden="1">
      <c r="A37" s="5" t="s">
        <v>86</v>
      </c>
      <c r="C37" s="11"/>
      <c r="D37" s="11">
        <f>C37/12</f>
        <v>0</v>
      </c>
      <c r="E37" s="10">
        <f>C37/$C$5</f>
        <v>0</v>
      </c>
      <c r="F37" t="s">
        <v>87</v>
      </c>
    </row>
    <row r="38" spans="1:5" ht="12.75" hidden="1">
      <c r="A38" s="4"/>
      <c r="C38" s="7"/>
      <c r="D38" s="7"/>
      <c r="E38" s="6"/>
    </row>
    <row r="39" spans="1:5" ht="12.75" hidden="1">
      <c r="A39" s="5" t="s">
        <v>88</v>
      </c>
      <c r="C39" s="7"/>
      <c r="D39" s="7"/>
      <c r="E39" s="6"/>
    </row>
    <row r="40" spans="1:6" ht="12.75" hidden="1">
      <c r="A40" s="4" t="s">
        <v>89</v>
      </c>
      <c r="C40" s="7"/>
      <c r="D40" s="7">
        <f>C40/12</f>
        <v>0</v>
      </c>
      <c r="E40" s="6">
        <f>C40/$C$5</f>
        <v>0</v>
      </c>
      <c r="F40" t="s">
        <v>90</v>
      </c>
    </row>
    <row r="41" spans="1:6" ht="12.75" hidden="1">
      <c r="A41" s="4" t="s">
        <v>91</v>
      </c>
      <c r="C41" s="7"/>
      <c r="D41" s="7">
        <f>C41/12</f>
        <v>0</v>
      </c>
      <c r="E41" s="6">
        <f>C41/$C$5</f>
        <v>0</v>
      </c>
      <c r="F41" t="s">
        <v>90</v>
      </c>
    </row>
    <row r="42" spans="1:6" ht="12.75" hidden="1">
      <c r="A42" s="4" t="s">
        <v>92</v>
      </c>
      <c r="C42" s="16"/>
      <c r="D42" s="7">
        <f>C42/12</f>
        <v>0</v>
      </c>
      <c r="E42" s="6">
        <f>C42/$C$5</f>
        <v>0</v>
      </c>
      <c r="F42" t="s">
        <v>90</v>
      </c>
    </row>
    <row r="43" spans="1:6" ht="12.75" hidden="1">
      <c r="A43" s="4" t="s">
        <v>93</v>
      </c>
      <c r="C43" s="9"/>
      <c r="D43" s="7">
        <f>C43/12</f>
        <v>0</v>
      </c>
      <c r="E43" s="6">
        <f>C43/$C$5</f>
        <v>0</v>
      </c>
      <c r="F43" t="s">
        <v>90</v>
      </c>
    </row>
    <row r="44" spans="1:5" ht="12.75" hidden="1">
      <c r="A44" s="5" t="s">
        <v>94</v>
      </c>
      <c r="C44" s="11">
        <f>SUM(C40:C43)</f>
        <v>0</v>
      </c>
      <c r="D44" s="11">
        <f>C44/12</f>
        <v>0</v>
      </c>
      <c r="E44" s="10">
        <f>C44/$C$5</f>
        <v>0</v>
      </c>
    </row>
    <row r="45" spans="1:5" ht="12.75">
      <c r="A45" s="4"/>
      <c r="C45" s="7"/>
      <c r="D45" s="7"/>
      <c r="E45" s="6"/>
    </row>
    <row r="46" spans="1:6" ht="12.75">
      <c r="A46" s="5" t="s">
        <v>112</v>
      </c>
      <c r="C46" s="11">
        <v>1500</v>
      </c>
      <c r="D46" s="11">
        <f>C46/12</f>
        <v>125</v>
      </c>
      <c r="E46" s="10">
        <f>C46/$C$5</f>
        <v>0.3</v>
      </c>
      <c r="F46" t="s">
        <v>96</v>
      </c>
    </row>
    <row r="47" spans="1:10" ht="12.75">
      <c r="A47" s="4"/>
      <c r="C47" s="7"/>
      <c r="D47" s="11"/>
      <c r="E47" s="10"/>
      <c r="H47" t="s">
        <v>119</v>
      </c>
      <c r="I47" s="51" t="s">
        <v>122</v>
      </c>
      <c r="J47" t="s">
        <v>123</v>
      </c>
    </row>
    <row r="48" spans="1:11" ht="12.75">
      <c r="A48" s="5" t="s">
        <v>97</v>
      </c>
      <c r="C48" s="11">
        <v>10000</v>
      </c>
      <c r="D48" s="11">
        <f>C48/12</f>
        <v>833.3333333333334</v>
      </c>
      <c r="E48" s="10">
        <f>C48/$C$5</f>
        <v>2</v>
      </c>
      <c r="G48" t="s">
        <v>120</v>
      </c>
      <c r="H48">
        <v>250000</v>
      </c>
      <c r="I48">
        <f>H48/1000</f>
        <v>250</v>
      </c>
      <c r="J48">
        <v>31</v>
      </c>
      <c r="K48">
        <f>I48*31</f>
        <v>7750</v>
      </c>
    </row>
    <row r="49" spans="1:11" ht="12.75">
      <c r="A49" s="4" t="s">
        <v>61</v>
      </c>
      <c r="C49" s="7" t="s">
        <v>61</v>
      </c>
      <c r="D49" s="11"/>
      <c r="E49" s="10"/>
      <c r="G49" t="s">
        <v>121</v>
      </c>
      <c r="H49">
        <v>250000</v>
      </c>
      <c r="I49">
        <f>H49/1000</f>
        <v>250</v>
      </c>
      <c r="J49">
        <v>11</v>
      </c>
      <c r="K49">
        <f>J49*I49</f>
        <v>2750</v>
      </c>
    </row>
    <row r="50" spans="1:11" ht="12.75">
      <c r="A50" s="5" t="s">
        <v>98</v>
      </c>
      <c r="B50" s="47">
        <v>0.05</v>
      </c>
      <c r="C50" s="11">
        <f>B50*E18</f>
        <v>3851.775</v>
      </c>
      <c r="D50" s="11">
        <f>C50/12</f>
        <v>320.98125</v>
      </c>
      <c r="E50" s="10">
        <f>C50/$C$5</f>
        <v>0.770355</v>
      </c>
      <c r="K50">
        <f>SUM(K48:K49)</f>
        <v>10500</v>
      </c>
    </row>
    <row r="51" spans="1:5" ht="12.75">
      <c r="A51" s="4"/>
      <c r="C51" s="7"/>
      <c r="D51" s="11"/>
      <c r="E51" s="10"/>
    </row>
    <row r="52" spans="1:8" ht="12.75">
      <c r="A52" s="5" t="s">
        <v>99</v>
      </c>
      <c r="C52" s="11">
        <f>C22+C32+C35+C37+C44+C46+C48+C50</f>
        <v>21703.550000000003</v>
      </c>
      <c r="D52" s="11">
        <f>C52/12</f>
        <v>1808.6291666666668</v>
      </c>
      <c r="E52" s="10">
        <f>C52/$C$5</f>
        <v>4.3407100000000005</v>
      </c>
      <c r="H52" t="s">
        <v>61</v>
      </c>
    </row>
    <row r="53" spans="1:8" ht="12.75">
      <c r="A53" s="4"/>
      <c r="C53" s="7"/>
      <c r="D53" s="11"/>
      <c r="E53" s="10"/>
      <c r="G53" t="s">
        <v>114</v>
      </c>
      <c r="H53" t="s">
        <v>39</v>
      </c>
    </row>
    <row r="54" spans="1:9" ht="12.75">
      <c r="A54" s="5" t="s">
        <v>100</v>
      </c>
      <c r="C54" s="11">
        <f>E18-C52</f>
        <v>55331.95</v>
      </c>
      <c r="D54" s="11">
        <f>C54/12</f>
        <v>4610.995833333333</v>
      </c>
      <c r="E54" s="10">
        <f>C54/$C$5</f>
        <v>11.06639</v>
      </c>
      <c r="G54" s="49">
        <v>0.1</v>
      </c>
      <c r="H54" s="19">
        <f>C54/G54</f>
        <v>553319.4999999999</v>
      </c>
      <c r="I54" s="48">
        <f>H54*H55</f>
        <v>414989.6249999999</v>
      </c>
    </row>
    <row r="55" spans="6:8" ht="12.75">
      <c r="F55" t="s">
        <v>23</v>
      </c>
      <c r="H55">
        <v>0.75</v>
      </c>
    </row>
    <row r="56" spans="1:7" ht="12.75">
      <c r="A56" s="5" t="s">
        <v>101</v>
      </c>
      <c r="C56" s="21">
        <f>C54/Summary!B11</f>
        <v>44265.56</v>
      </c>
      <c r="D56" s="11">
        <f>C56/12</f>
        <v>3688.7966666666666</v>
      </c>
      <c r="E56" s="10">
        <f>C56/$C$5</f>
        <v>8.853112</v>
      </c>
      <c r="F56" s="22">
        <f>-PV(Summary!D18,Summary!C18,C56)</f>
        <v>539945.844045592</v>
      </c>
      <c r="G56" s="22">
        <f>F56/0.75</f>
        <v>719927.7920607893</v>
      </c>
    </row>
    <row r="58" spans="1:6" ht="12.75">
      <c r="A58" s="5" t="s">
        <v>18</v>
      </c>
      <c r="C58" s="21">
        <f>C54-C56</f>
        <v>11066.39</v>
      </c>
      <c r="D58" s="11">
        <f>C58/12</f>
        <v>922.1991666666667</v>
      </c>
      <c r="E58" s="10">
        <f>C58/$C$5</f>
        <v>2.213278</v>
      </c>
      <c r="F58" s="22"/>
    </row>
    <row r="60" spans="1:6" ht="12.75">
      <c r="A60" s="2" t="s">
        <v>12</v>
      </c>
      <c r="C60" s="32">
        <f>C54/C56</f>
        <v>1.25</v>
      </c>
      <c r="F60" s="22"/>
    </row>
    <row r="61" spans="4:7" ht="12.75">
      <c r="D61" s="48"/>
      <c r="F61" s="46"/>
      <c r="G61" s="46"/>
    </row>
    <row r="62" ht="12.75">
      <c r="G62" s="46"/>
    </row>
    <row r="63" spans="1:6" ht="12.75">
      <c r="A63" t="s">
        <v>103</v>
      </c>
      <c r="C63" s="7">
        <f>ABS(PMT(Summary!D18,Summary!C18,F63))</f>
        <v>79116.06763639678</v>
      </c>
      <c r="D63" s="11">
        <f>C63/12</f>
        <v>6593.005636366398</v>
      </c>
      <c r="E63" s="10">
        <f>C63/$C$5</f>
        <v>15.823213527279355</v>
      </c>
      <c r="F63" s="7">
        <f>0.8*Summary!E16</f>
        <v>965048.04</v>
      </c>
    </row>
    <row r="64" spans="1:3" ht="12.75">
      <c r="A64" t="s">
        <v>104</v>
      </c>
      <c r="C64" s="6">
        <f>C54/C63</f>
        <v>0.6993768984360508</v>
      </c>
    </row>
    <row r="65" spans="1:6" ht="12.75">
      <c r="A65" t="s">
        <v>7</v>
      </c>
      <c r="F65" s="7">
        <f>0.2*Summary!E16</f>
        <v>241262.01</v>
      </c>
    </row>
  </sheetData>
  <printOptions/>
  <pageMargins left="0.75" right="0.75" top="1" bottom="1" header="0.5" footer="0.5"/>
  <pageSetup fitToHeight="1" fitToWidth="1" horizontalDpi="300" verticalDpi="3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alison</cp:lastModifiedBy>
  <cp:lastPrinted>2004-06-24T18:57:52Z</cp:lastPrinted>
  <dcterms:created xsi:type="dcterms:W3CDTF">1999-05-26T20:13:04Z</dcterms:created>
  <dcterms:modified xsi:type="dcterms:W3CDTF">2009-10-20T19:40:24Z</dcterms:modified>
  <cp:category/>
  <cp:version/>
  <cp:contentType/>
  <cp:contentStatus/>
</cp:coreProperties>
</file>